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ibernardo\Dropbox\Websites\Gen Y Finance Guy\Optin Offers\"/>
    </mc:Choice>
  </mc:AlternateContent>
  <bookViews>
    <workbookView xWindow="0" yWindow="0" windowWidth="28800" windowHeight="12435"/>
  </bookViews>
  <sheets>
    <sheet name="Estimated Tax Model" sheetId="1" r:id="rId1"/>
  </sheets>
  <definedNames>
    <definedName name="EV__LASTREFTIME__" hidden="1">41555.6172337963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C12" i="1"/>
  <c r="D11" i="1"/>
  <c r="E11" i="1"/>
  <c r="F11" i="1"/>
  <c r="G11" i="1"/>
  <c r="H11" i="1"/>
  <c r="I11" i="1"/>
  <c r="J11" i="1"/>
  <c r="K11" i="1"/>
  <c r="L11" i="1"/>
  <c r="M11" i="1"/>
  <c r="N11" i="1"/>
  <c r="N14" i="1" s="1"/>
  <c r="C11" i="1"/>
  <c r="D10" i="1"/>
  <c r="D14" i="1" s="1"/>
  <c r="E10" i="1"/>
  <c r="F10" i="1"/>
  <c r="G10" i="1"/>
  <c r="H10" i="1"/>
  <c r="I10" i="1"/>
  <c r="J10" i="1"/>
  <c r="J14" i="1" s="1"/>
  <c r="K10" i="1"/>
  <c r="K14" i="1" s="1"/>
  <c r="K16" i="1" s="1"/>
  <c r="L10" i="1"/>
  <c r="M10" i="1"/>
  <c r="N10" i="1"/>
  <c r="C10" i="1"/>
  <c r="C14" i="1" s="1"/>
  <c r="M7" i="1"/>
  <c r="L7" i="1"/>
  <c r="K7" i="1"/>
  <c r="J7" i="1"/>
  <c r="I7" i="1"/>
  <c r="H7" i="1"/>
  <c r="G7" i="1"/>
  <c r="F7" i="1"/>
  <c r="E7" i="1"/>
  <c r="D7" i="1"/>
  <c r="C7" i="1"/>
  <c r="N7" i="1"/>
  <c r="O6" i="1"/>
  <c r="T31" i="1"/>
  <c r="V31" i="1" s="1"/>
  <c r="T30" i="1"/>
  <c r="V30" i="1" s="1"/>
  <c r="U29" i="1"/>
  <c r="E14" i="1"/>
  <c r="O13" i="1"/>
  <c r="B12" i="1"/>
  <c r="O11" i="1"/>
  <c r="M14" i="1"/>
  <c r="L14" i="1"/>
  <c r="O5" i="1"/>
  <c r="I24" i="1" s="1"/>
  <c r="G14" i="1" l="1"/>
  <c r="G16" i="1" s="1"/>
  <c r="H14" i="1"/>
  <c r="L16" i="1"/>
  <c r="L18" i="1" s="1"/>
  <c r="J16" i="1"/>
  <c r="C16" i="1"/>
  <c r="C18" i="1" s="1"/>
  <c r="D16" i="1"/>
  <c r="D18" i="1" s="1"/>
  <c r="H16" i="1"/>
  <c r="H18" i="1" s="1"/>
  <c r="E16" i="1"/>
  <c r="E18" i="1" s="1"/>
  <c r="O17" i="1"/>
  <c r="O7" i="1"/>
  <c r="M16" i="1"/>
  <c r="M18" i="1" s="1"/>
  <c r="J18" i="1"/>
  <c r="N22" i="1"/>
  <c r="U30" i="1"/>
  <c r="U31" i="1"/>
  <c r="K18" i="1"/>
  <c r="K24" i="1"/>
  <c r="G24" i="1"/>
  <c r="C24" i="1"/>
  <c r="N24" i="1"/>
  <c r="J24" i="1"/>
  <c r="F24" i="1"/>
  <c r="L24" i="1"/>
  <c r="H24" i="1"/>
  <c r="D24" i="1"/>
  <c r="G18" i="1"/>
  <c r="J22" i="1"/>
  <c r="E24" i="1"/>
  <c r="L22" i="1"/>
  <c r="H22" i="1"/>
  <c r="D22" i="1"/>
  <c r="K22" i="1"/>
  <c r="G22" i="1"/>
  <c r="C22" i="1"/>
  <c r="M22" i="1"/>
  <c r="I22" i="1"/>
  <c r="E22" i="1"/>
  <c r="M24" i="1"/>
  <c r="N16" i="1"/>
  <c r="N18" i="1" s="1"/>
  <c r="O12" i="1"/>
  <c r="F14" i="1"/>
  <c r="F16" i="1" s="1"/>
  <c r="F18" i="1" s="1"/>
  <c r="I14" i="1"/>
  <c r="I16" i="1" s="1"/>
  <c r="I18" i="1" s="1"/>
  <c r="F22" i="1"/>
  <c r="O10" i="1"/>
  <c r="O16" i="1" l="1"/>
  <c r="O18" i="1" s="1"/>
  <c r="T16" i="1" s="1"/>
  <c r="O24" i="1"/>
  <c r="O14" i="1"/>
  <c r="O22" i="1"/>
  <c r="G23" i="1" l="1"/>
  <c r="N23" i="1"/>
  <c r="D23" i="1"/>
  <c r="C23" i="1"/>
  <c r="L23" i="1"/>
  <c r="E23" i="1"/>
  <c r="F23" i="1"/>
  <c r="M23" i="1"/>
  <c r="J23" i="1"/>
  <c r="I23" i="1"/>
  <c r="H23" i="1"/>
  <c r="K23" i="1"/>
  <c r="T23" i="1"/>
  <c r="V16" i="1"/>
  <c r="V17" i="1" s="1"/>
  <c r="U16" i="1"/>
  <c r="U17" i="1" s="1"/>
  <c r="AA16" i="1"/>
  <c r="AA17" i="1" s="1"/>
  <c r="O23" i="1" l="1"/>
  <c r="W16" i="1"/>
  <c r="X23" i="1"/>
  <c r="X24" i="1" s="1"/>
  <c r="W23" i="1"/>
  <c r="W24" i="1" s="1"/>
  <c r="AC23" i="1"/>
  <c r="AC24" i="1" s="1"/>
  <c r="Y23" i="1"/>
  <c r="Y24" i="1" s="1"/>
  <c r="U23" i="1"/>
  <c r="U24" i="1" s="1"/>
  <c r="V23" i="1"/>
  <c r="V24" i="1" s="1"/>
  <c r="Z23" i="1" l="1"/>
  <c r="W17" i="1"/>
  <c r="X16" i="1"/>
  <c r="X17" i="1" l="1"/>
  <c r="Y16" i="1"/>
  <c r="Z24" i="1"/>
  <c r="AA23" i="1"/>
  <c r="Y17" i="1" l="1"/>
  <c r="Z16" i="1"/>
  <c r="Z17" i="1" s="1"/>
  <c r="AA24" i="1"/>
  <c r="AB23" i="1"/>
  <c r="AB24" i="1" s="1"/>
  <c r="T24" i="1" l="1"/>
  <c r="T25" i="1" s="1"/>
  <c r="L21" i="1" s="1"/>
  <c r="T17" i="1"/>
  <c r="T18" i="1" s="1"/>
  <c r="J21" i="1" l="1"/>
  <c r="M21" i="1"/>
  <c r="G21" i="1"/>
  <c r="N21" i="1"/>
  <c r="E21" i="1"/>
  <c r="D21" i="1"/>
  <c r="F21" i="1"/>
  <c r="I21" i="1"/>
  <c r="H21" i="1"/>
  <c r="K21" i="1"/>
  <c r="C21" i="1"/>
  <c r="N20" i="1"/>
  <c r="J20" i="1"/>
  <c r="J25" i="1" s="1"/>
  <c r="F20" i="1"/>
  <c r="I20" i="1"/>
  <c r="K20" i="1"/>
  <c r="G20" i="1"/>
  <c r="C20" i="1"/>
  <c r="M20" i="1"/>
  <c r="E20" i="1"/>
  <c r="L20" i="1"/>
  <c r="L25" i="1" s="1"/>
  <c r="H20" i="1"/>
  <c r="D20" i="1"/>
  <c r="N25" i="1" l="1"/>
  <c r="N28" i="1" s="1"/>
  <c r="M25" i="1"/>
  <c r="M28" i="1" s="1"/>
  <c r="H25" i="1"/>
  <c r="H28" i="1" s="1"/>
  <c r="G25" i="1"/>
  <c r="G28" i="1" s="1"/>
  <c r="O21" i="1"/>
  <c r="D25" i="1"/>
  <c r="D28" i="1" s="1"/>
  <c r="E25" i="1"/>
  <c r="E26" i="1" s="1"/>
  <c r="K25" i="1"/>
  <c r="K26" i="1" s="1"/>
  <c r="I25" i="1"/>
  <c r="I26" i="1" s="1"/>
  <c r="F25" i="1"/>
  <c r="F28" i="1" s="1"/>
  <c r="C25" i="1"/>
  <c r="O20" i="1"/>
  <c r="L28" i="1"/>
  <c r="L26" i="1"/>
  <c r="J26" i="1"/>
  <c r="J28" i="1"/>
  <c r="N26" i="1"/>
  <c r="M26" i="1" l="1"/>
  <c r="H26" i="1"/>
  <c r="E28" i="1"/>
  <c r="G26" i="1"/>
  <c r="F26" i="1"/>
  <c r="D26" i="1"/>
  <c r="I28" i="1"/>
  <c r="K28" i="1"/>
  <c r="O25" i="1"/>
  <c r="C26" i="1"/>
  <c r="C28" i="1"/>
  <c r="O26" i="1" l="1"/>
  <c r="O28" i="1"/>
</calcChain>
</file>

<file path=xl/sharedStrings.xml><?xml version="1.0" encoding="utf-8"?>
<sst xmlns="http://schemas.openxmlformats.org/spreadsheetml/2006/main" count="71" uniqueCount="37">
  <si>
    <t>Forecast</t>
  </si>
  <si>
    <t>Gross Pay</t>
  </si>
  <si>
    <t>Pre Tax Contributions</t>
  </si>
  <si>
    <t>401K Deduction</t>
  </si>
  <si>
    <t>IRA For Wife</t>
  </si>
  <si>
    <t>Teir 1</t>
  </si>
  <si>
    <t>Teir 2</t>
  </si>
  <si>
    <t>Teir 3</t>
  </si>
  <si>
    <t>Teir 4</t>
  </si>
  <si>
    <t>Teir 5</t>
  </si>
  <si>
    <t>Teir 6</t>
  </si>
  <si>
    <t>Teir 7</t>
  </si>
  <si>
    <t>Federal</t>
  </si>
  <si>
    <t>Health/Dental Ins.</t>
  </si>
  <si>
    <t>∞</t>
  </si>
  <si>
    <t>Total Pre-Tax</t>
  </si>
  <si>
    <t>Amount</t>
  </si>
  <si>
    <t>Take Home Pay (BEFORE TAXES)</t>
  </si>
  <si>
    <t>Taxable Income</t>
  </si>
  <si>
    <t>Taxes</t>
  </si>
  <si>
    <t>Federal Tax Rate</t>
  </si>
  <si>
    <t>State</t>
  </si>
  <si>
    <t>State Tax Rate</t>
  </si>
  <si>
    <t>Taxable Income (AGI)</t>
  </si>
  <si>
    <t>Federal Taxes</t>
  </si>
  <si>
    <t>FICA Limit</t>
  </si>
  <si>
    <t>State Taxes</t>
  </si>
  <si>
    <t>Medicare</t>
  </si>
  <si>
    <t>Social Security</t>
  </si>
  <si>
    <t>CA SUI/SDI</t>
  </si>
  <si>
    <t>% of Taxable Income</t>
  </si>
  <si>
    <t>Effective Tax Rate</t>
  </si>
  <si>
    <t>Itemized Deductions</t>
  </si>
  <si>
    <t>Tax Estimation</t>
  </si>
  <si>
    <t>Earned Income</t>
  </si>
  <si>
    <t>Other Income</t>
  </si>
  <si>
    <t>THIS IS JUST A TOOL TO ESTIMATE TAXES FOR A MARRIED COUPLE FILING JOINTLY. PLEASE DON'T TAKE ANYTHING SEEN IN THIS TEMPLATE AS ADVICE. CONSULT A CPA FOR ADVICE ON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</si>
</sst>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9" tint="-0.249977111117893"/>
      <name val="Calibri"/>
      <family val="2"/>
    </font>
    <font>
      <i/>
      <sz val="11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2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165" fontId="2" fillId="0" borderId="9" xfId="0" applyNumberFormat="1" applyFont="1" applyBorder="1"/>
    <xf numFmtId="0" fontId="4" fillId="0" borderId="10" xfId="0" applyFont="1" applyBorder="1"/>
    <xf numFmtId="0" fontId="2" fillId="0" borderId="9" xfId="0" applyFont="1" applyFill="1" applyBorder="1"/>
    <xf numFmtId="0" fontId="5" fillId="0" borderId="0" xfId="0" applyFont="1"/>
    <xf numFmtId="6" fontId="0" fillId="5" borderId="7" xfId="0" applyNumberFormat="1" applyFill="1" applyBorder="1"/>
    <xf numFmtId="6" fontId="0" fillId="5" borderId="8" xfId="0" applyNumberFormat="1" applyFill="1" applyBorder="1"/>
    <xf numFmtId="6" fontId="2" fillId="0" borderId="9" xfId="0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11" xfId="0" applyBorder="1"/>
    <xf numFmtId="6" fontId="0" fillId="5" borderId="12" xfId="0" applyNumberFormat="1" applyFill="1" applyBorder="1"/>
    <xf numFmtId="6" fontId="2" fillId="0" borderId="14" xfId="0" applyNumberFormat="1" applyFont="1" applyFill="1" applyBorder="1"/>
    <xf numFmtId="165" fontId="2" fillId="0" borderId="2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0" fontId="2" fillId="0" borderId="0" xfId="0" applyFont="1" applyFill="1" applyBorder="1"/>
    <xf numFmtId="6" fontId="2" fillId="0" borderId="7" xfId="0" applyNumberFormat="1" applyFont="1" applyBorder="1"/>
    <xf numFmtId="6" fontId="2" fillId="0" borderId="8" xfId="0" applyNumberFormat="1" applyFont="1" applyBorder="1"/>
    <xf numFmtId="0" fontId="2" fillId="0" borderId="2" xfId="0" applyFont="1" applyBorder="1"/>
    <xf numFmtId="9" fontId="2" fillId="0" borderId="2" xfId="2" applyFont="1" applyBorder="1" applyAlignment="1">
      <alignment horizontal="center"/>
    </xf>
    <xf numFmtId="6" fontId="0" fillId="0" borderId="7" xfId="0" applyNumberFormat="1" applyBorder="1"/>
    <xf numFmtId="6" fontId="0" fillId="0" borderId="8" xfId="0" applyNumberFormat="1" applyBorder="1"/>
    <xf numFmtId="0" fontId="2" fillId="0" borderId="10" xfId="0" applyFont="1" applyBorder="1"/>
    <xf numFmtId="6" fontId="2" fillId="0" borderId="2" xfId="0" applyNumberFormat="1" applyFont="1" applyBorder="1"/>
    <xf numFmtId="6" fontId="2" fillId="0" borderId="3" xfId="0" applyNumberFormat="1" applyFont="1" applyBorder="1"/>
    <xf numFmtId="6" fontId="2" fillId="0" borderId="6" xfId="0" applyNumberFormat="1" applyFont="1" applyFill="1" applyBorder="1"/>
    <xf numFmtId="0" fontId="0" fillId="0" borderId="2" xfId="0" applyBorder="1"/>
    <xf numFmtId="165" fontId="0" fillId="0" borderId="2" xfId="0" applyNumberFormat="1" applyBorder="1"/>
    <xf numFmtId="165" fontId="0" fillId="0" borderId="2" xfId="1" applyNumberFormat="1" applyFont="1" applyBorder="1"/>
    <xf numFmtId="0" fontId="0" fillId="0" borderId="0" xfId="0" applyFont="1"/>
    <xf numFmtId="165" fontId="0" fillId="0" borderId="2" xfId="0" applyNumberFormat="1" applyFont="1" applyBorder="1"/>
    <xf numFmtId="164" fontId="2" fillId="3" borderId="2" xfId="0" applyNumberFormat="1" applyFont="1" applyFill="1" applyBorder="1"/>
    <xf numFmtId="166" fontId="2" fillId="3" borderId="2" xfId="2" applyNumberFormat="1" applyFont="1" applyFill="1" applyBorder="1"/>
    <xf numFmtId="164" fontId="0" fillId="0" borderId="0" xfId="0" applyNumberFormat="1" applyFont="1"/>
    <xf numFmtId="165" fontId="0" fillId="0" borderId="0" xfId="1" applyNumberFormat="1" applyFont="1"/>
    <xf numFmtId="0" fontId="2" fillId="0" borderId="15" xfId="0" applyFont="1" applyBorder="1"/>
    <xf numFmtId="9" fontId="2" fillId="0" borderId="15" xfId="2" applyFont="1" applyBorder="1" applyAlignment="1">
      <alignment horizontal="center"/>
    </xf>
    <xf numFmtId="0" fontId="2" fillId="6" borderId="0" xfId="0" applyFont="1" applyFill="1" applyBorder="1"/>
    <xf numFmtId="6" fontId="2" fillId="6" borderId="7" xfId="0" applyNumberFormat="1" applyFont="1" applyFill="1" applyBorder="1"/>
    <xf numFmtId="6" fontId="2" fillId="6" borderId="8" xfId="0" applyNumberFormat="1" applyFont="1" applyFill="1" applyBorder="1"/>
    <xf numFmtId="6" fontId="2" fillId="6" borderId="9" xfId="0" applyNumberFormat="1" applyFont="1" applyFill="1" applyBorder="1"/>
    <xf numFmtId="0" fontId="2" fillId="0" borderId="0" xfId="0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165" fontId="2" fillId="0" borderId="9" xfId="2" applyNumberFormat="1" applyFont="1" applyBorder="1"/>
    <xf numFmtId="165" fontId="0" fillId="0" borderId="0" xfId="0" applyNumberFormat="1"/>
    <xf numFmtId="165" fontId="2" fillId="0" borderId="9" xfId="0" applyNumberFormat="1" applyFont="1" applyFill="1" applyBorder="1"/>
    <xf numFmtId="10" fontId="0" fillId="0" borderId="0" xfId="2" applyNumberFormat="1" applyFont="1"/>
    <xf numFmtId="165" fontId="2" fillId="0" borderId="9" xfId="1" applyNumberFormat="1" applyFont="1" applyFill="1" applyBorder="1"/>
    <xf numFmtId="0" fontId="2" fillId="0" borderId="11" xfId="0" applyFont="1" applyBorder="1"/>
    <xf numFmtId="165" fontId="2" fillId="0" borderId="12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Fill="1" applyBorder="1"/>
    <xf numFmtId="6" fontId="0" fillId="0" borderId="0" xfId="0" applyNumberFormat="1"/>
    <xf numFmtId="166" fontId="0" fillId="0" borderId="0" xfId="2" applyNumberFormat="1" applyFont="1"/>
    <xf numFmtId="0" fontId="7" fillId="0" borderId="0" xfId="0" applyFont="1" applyAlignment="1">
      <alignment horizontal="left" indent="1"/>
    </xf>
    <xf numFmtId="9" fontId="8" fillId="0" borderId="7" xfId="2" applyNumberFormat="1" applyFont="1" applyFill="1" applyBorder="1"/>
    <xf numFmtId="9" fontId="8" fillId="0" borderId="8" xfId="2" applyNumberFormat="1" applyFont="1" applyFill="1" applyBorder="1"/>
    <xf numFmtId="9" fontId="8" fillId="0" borderId="9" xfId="2" applyNumberFormat="1" applyFont="1" applyFill="1" applyBorder="1"/>
    <xf numFmtId="0" fontId="2" fillId="0" borderId="5" xfId="0" applyFont="1" applyBorder="1"/>
    <xf numFmtId="0" fontId="9" fillId="0" borderId="0" xfId="0" applyFont="1" applyAlignment="1">
      <alignment horizontal="left" indent="1"/>
    </xf>
    <xf numFmtId="9" fontId="9" fillId="0" borderId="0" xfId="2" applyFont="1"/>
    <xf numFmtId="0" fontId="10" fillId="0" borderId="0" xfId="0" applyFont="1"/>
    <xf numFmtId="0" fontId="0" fillId="0" borderId="0" xfId="0" applyFont="1" applyFill="1" applyBorder="1"/>
    <xf numFmtId="6" fontId="0" fillId="0" borderId="9" xfId="0" applyNumberFormat="1" applyFont="1" applyFill="1" applyBorder="1"/>
    <xf numFmtId="0" fontId="2" fillId="7" borderId="0" xfId="0" applyFont="1" applyFill="1" applyBorder="1"/>
    <xf numFmtId="6" fontId="2" fillId="7" borderId="7" xfId="0" applyNumberFormat="1" applyFont="1" applyFill="1" applyBorder="1"/>
    <xf numFmtId="165" fontId="2" fillId="7" borderId="8" xfId="0" applyNumberFormat="1" applyFont="1" applyFill="1" applyBorder="1"/>
    <xf numFmtId="6" fontId="2" fillId="7" borderId="9" xfId="0" applyNumberFormat="1" applyFont="1" applyFill="1" applyBorder="1"/>
    <xf numFmtId="6" fontId="4" fillId="0" borderId="2" xfId="0" applyNumberFormat="1" applyFont="1" applyFill="1" applyBorder="1"/>
    <xf numFmtId="6" fontId="4" fillId="0" borderId="3" xfId="0" applyNumberFormat="1" applyFont="1" applyFill="1" applyBorder="1"/>
    <xf numFmtId="165" fontId="11" fillId="0" borderId="6" xfId="1" applyNumberFormat="1" applyFont="1" applyFill="1" applyBorder="1"/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B1:AC42"/>
  <sheetViews>
    <sheetView showGridLines="0" tabSelected="1" zoomScale="85" zoomScaleNormal="85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C20" sqref="C20"/>
    </sheetView>
  </sheetViews>
  <sheetFormatPr defaultRowHeight="15" x14ac:dyDescent="0.25"/>
  <cols>
    <col min="1" max="1" width="3.42578125" customWidth="1"/>
    <col min="2" max="2" width="40.140625" bestFit="1" customWidth="1"/>
    <col min="3" max="14" width="12.5703125" customWidth="1"/>
    <col min="15" max="15" width="12.5703125" style="1" customWidth="1"/>
    <col min="16" max="16" width="2" customWidth="1"/>
    <col min="18" max="18" width="1.7109375" customWidth="1"/>
    <col min="19" max="19" width="15.7109375" bestFit="1" customWidth="1"/>
    <col min="30" max="30" width="3.140625" customWidth="1"/>
  </cols>
  <sheetData>
    <row r="1" spans="2:27" ht="15.75" thickBot="1" x14ac:dyDescent="0.3"/>
    <row r="2" spans="2:27" x14ac:dyDescent="0.25">
      <c r="B2" s="2" t="s">
        <v>33</v>
      </c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4" t="s">
        <v>0</v>
      </c>
    </row>
    <row r="3" spans="2:27" ht="15.75" thickBot="1" x14ac:dyDescent="0.3">
      <c r="B3" s="5"/>
      <c r="C3" s="6">
        <v>42005</v>
      </c>
      <c r="D3" s="6">
        <v>42036</v>
      </c>
      <c r="E3" s="6">
        <v>42064</v>
      </c>
      <c r="F3" s="6">
        <v>42095</v>
      </c>
      <c r="G3" s="6">
        <v>42125</v>
      </c>
      <c r="H3" s="6">
        <v>42156</v>
      </c>
      <c r="I3" s="6">
        <v>42186</v>
      </c>
      <c r="J3" s="6">
        <v>42217</v>
      </c>
      <c r="K3" s="6">
        <v>42248</v>
      </c>
      <c r="L3" s="6">
        <v>42278</v>
      </c>
      <c r="M3" s="6">
        <v>42309</v>
      </c>
      <c r="N3" s="6">
        <v>42339</v>
      </c>
      <c r="O3" s="7">
        <v>2015</v>
      </c>
    </row>
    <row r="4" spans="2:27" ht="5.0999999999999996" customHeight="1" x14ac:dyDescent="0.25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2:27" x14ac:dyDescent="0.25">
      <c r="B5" t="s">
        <v>34</v>
      </c>
      <c r="C5" s="15">
        <v>20000</v>
      </c>
      <c r="D5" s="15">
        <v>20000</v>
      </c>
      <c r="E5" s="15">
        <v>20000</v>
      </c>
      <c r="F5" s="15">
        <v>20000</v>
      </c>
      <c r="G5" s="15">
        <v>20000</v>
      </c>
      <c r="H5" s="15">
        <v>20000</v>
      </c>
      <c r="I5" s="15">
        <v>20000</v>
      </c>
      <c r="J5" s="15">
        <v>20000</v>
      </c>
      <c r="K5" s="15">
        <v>20000</v>
      </c>
      <c r="L5" s="15">
        <v>20000</v>
      </c>
      <c r="M5" s="15">
        <v>20000</v>
      </c>
      <c r="N5" s="16">
        <v>20000</v>
      </c>
      <c r="O5" s="11">
        <f>SUM(C5:N5)</f>
        <v>240000</v>
      </c>
    </row>
    <row r="6" spans="2:27" x14ac:dyDescent="0.25">
      <c r="B6" t="s">
        <v>35</v>
      </c>
      <c r="C6" s="15">
        <v>2500</v>
      </c>
      <c r="D6" s="15">
        <v>2500</v>
      </c>
      <c r="E6" s="15">
        <v>2500</v>
      </c>
      <c r="F6" s="15">
        <v>2500</v>
      </c>
      <c r="G6" s="15">
        <v>2500</v>
      </c>
      <c r="H6" s="15">
        <v>2500</v>
      </c>
      <c r="I6" s="15">
        <v>2500</v>
      </c>
      <c r="J6" s="15">
        <v>2500</v>
      </c>
      <c r="K6" s="15">
        <v>2500</v>
      </c>
      <c r="L6" s="15">
        <v>2500</v>
      </c>
      <c r="M6" s="15">
        <v>2500</v>
      </c>
      <c r="N6" s="16">
        <v>2500</v>
      </c>
      <c r="O6" s="11">
        <f>SUM(C6:N6)</f>
        <v>30000</v>
      </c>
    </row>
    <row r="7" spans="2:27" x14ac:dyDescent="0.25">
      <c r="B7" s="12" t="s">
        <v>1</v>
      </c>
      <c r="C7" s="78">
        <f>SUM(C5:C6)</f>
        <v>22500</v>
      </c>
      <c r="D7" s="78">
        <f t="shared" ref="D7:N7" si="0">SUM(D5:D6)</f>
        <v>22500</v>
      </c>
      <c r="E7" s="78">
        <f t="shared" si="0"/>
        <v>22500</v>
      </c>
      <c r="F7" s="78">
        <f t="shared" si="0"/>
        <v>22500</v>
      </c>
      <c r="G7" s="78">
        <f t="shared" si="0"/>
        <v>22500</v>
      </c>
      <c r="H7" s="78">
        <f t="shared" si="0"/>
        <v>22500</v>
      </c>
      <c r="I7" s="78">
        <f t="shared" si="0"/>
        <v>22500</v>
      </c>
      <c r="J7" s="78">
        <f t="shared" si="0"/>
        <v>22500</v>
      </c>
      <c r="K7" s="78">
        <f t="shared" si="0"/>
        <v>22500</v>
      </c>
      <c r="L7" s="78">
        <f t="shared" si="0"/>
        <v>22500</v>
      </c>
      <c r="M7" s="78">
        <f t="shared" si="0"/>
        <v>22500</v>
      </c>
      <c r="N7" s="79">
        <f t="shared" si="0"/>
        <v>22500</v>
      </c>
      <c r="O7" s="80">
        <f>SUM(C7:N7)</f>
        <v>270000</v>
      </c>
    </row>
    <row r="8" spans="2:27" ht="5.0999999999999996" customHeight="1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13"/>
    </row>
    <row r="9" spans="2:27" x14ac:dyDescent="0.25">
      <c r="B9" s="14" t="s">
        <v>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13"/>
    </row>
    <row r="10" spans="2:27" x14ac:dyDescent="0.25">
      <c r="B10" t="s">
        <v>3</v>
      </c>
      <c r="C10" s="15">
        <f>18000/12</f>
        <v>1500</v>
      </c>
      <c r="D10" s="15">
        <f t="shared" ref="D10:N10" si="1">18000/12</f>
        <v>1500</v>
      </c>
      <c r="E10" s="15">
        <f t="shared" si="1"/>
        <v>1500</v>
      </c>
      <c r="F10" s="15">
        <f t="shared" si="1"/>
        <v>1500</v>
      </c>
      <c r="G10" s="15">
        <f t="shared" si="1"/>
        <v>1500</v>
      </c>
      <c r="H10" s="15">
        <f t="shared" si="1"/>
        <v>1500</v>
      </c>
      <c r="I10" s="15">
        <f t="shared" si="1"/>
        <v>1500</v>
      </c>
      <c r="J10" s="15">
        <f t="shared" si="1"/>
        <v>1500</v>
      </c>
      <c r="K10" s="15">
        <f t="shared" si="1"/>
        <v>1500</v>
      </c>
      <c r="L10" s="15">
        <f t="shared" si="1"/>
        <v>1500</v>
      </c>
      <c r="M10" s="15">
        <f t="shared" si="1"/>
        <v>1500</v>
      </c>
      <c r="N10" s="15">
        <f t="shared" si="1"/>
        <v>1500</v>
      </c>
      <c r="O10" s="17">
        <f>SUM(C10:N10)</f>
        <v>18000</v>
      </c>
    </row>
    <row r="11" spans="2:27" x14ac:dyDescent="0.25">
      <c r="B11" t="s">
        <v>4</v>
      </c>
      <c r="C11" s="15">
        <f>5500/12</f>
        <v>458.33333333333331</v>
      </c>
      <c r="D11" s="15">
        <f t="shared" ref="D11:N11" si="2">5500/12</f>
        <v>458.33333333333331</v>
      </c>
      <c r="E11" s="15">
        <f t="shared" si="2"/>
        <v>458.33333333333331</v>
      </c>
      <c r="F11" s="15">
        <f t="shared" si="2"/>
        <v>458.33333333333331</v>
      </c>
      <c r="G11" s="15">
        <f t="shared" si="2"/>
        <v>458.33333333333331</v>
      </c>
      <c r="H11" s="15">
        <f t="shared" si="2"/>
        <v>458.33333333333331</v>
      </c>
      <c r="I11" s="15">
        <f t="shared" si="2"/>
        <v>458.33333333333331</v>
      </c>
      <c r="J11" s="15">
        <f t="shared" si="2"/>
        <v>458.33333333333331</v>
      </c>
      <c r="K11" s="15">
        <f t="shared" si="2"/>
        <v>458.33333333333331</v>
      </c>
      <c r="L11" s="15">
        <f t="shared" si="2"/>
        <v>458.33333333333331</v>
      </c>
      <c r="M11" s="15">
        <f t="shared" si="2"/>
        <v>458.33333333333331</v>
      </c>
      <c r="N11" s="15">
        <f t="shared" si="2"/>
        <v>458.33333333333331</v>
      </c>
      <c r="O11" s="17">
        <f t="shared" ref="O11:O14" si="3">SUM(C11:N11)</f>
        <v>5499.9999999999991</v>
      </c>
      <c r="U11" s="18" t="s">
        <v>5</v>
      </c>
      <c r="V11" s="18" t="s">
        <v>6</v>
      </c>
      <c r="W11" s="18" t="s">
        <v>7</v>
      </c>
      <c r="X11" s="18" t="s">
        <v>8</v>
      </c>
      <c r="Y11" s="18" t="s">
        <v>9</v>
      </c>
      <c r="Z11" s="18" t="s">
        <v>10</v>
      </c>
      <c r="AA11" s="18" t="s">
        <v>11</v>
      </c>
    </row>
    <row r="12" spans="2:27" x14ac:dyDescent="0.25">
      <c r="B12" t="str">
        <f>"HSA Account"</f>
        <v>HSA Account</v>
      </c>
      <c r="C12" s="15">
        <f>6650/12</f>
        <v>554.16666666666663</v>
      </c>
      <c r="D12" s="15">
        <f t="shared" ref="D12:N12" si="4">6650/12</f>
        <v>554.16666666666663</v>
      </c>
      <c r="E12" s="15">
        <f t="shared" si="4"/>
        <v>554.16666666666663</v>
      </c>
      <c r="F12" s="15">
        <f t="shared" si="4"/>
        <v>554.16666666666663</v>
      </c>
      <c r="G12" s="15">
        <f t="shared" si="4"/>
        <v>554.16666666666663</v>
      </c>
      <c r="H12" s="15">
        <f t="shared" si="4"/>
        <v>554.16666666666663</v>
      </c>
      <c r="I12" s="15">
        <f t="shared" si="4"/>
        <v>554.16666666666663</v>
      </c>
      <c r="J12" s="15">
        <f t="shared" si="4"/>
        <v>554.16666666666663</v>
      </c>
      <c r="K12" s="15">
        <f t="shared" si="4"/>
        <v>554.16666666666663</v>
      </c>
      <c r="L12" s="15">
        <f t="shared" si="4"/>
        <v>554.16666666666663</v>
      </c>
      <c r="M12" s="15">
        <f t="shared" si="4"/>
        <v>554.16666666666663</v>
      </c>
      <c r="N12" s="15">
        <f t="shared" si="4"/>
        <v>554.16666666666663</v>
      </c>
      <c r="O12" s="17">
        <f t="shared" si="3"/>
        <v>6650.0000000000009</v>
      </c>
      <c r="U12" s="18" t="s">
        <v>12</v>
      </c>
      <c r="V12" s="18" t="s">
        <v>12</v>
      </c>
      <c r="W12" s="18" t="s">
        <v>12</v>
      </c>
      <c r="X12" s="18" t="s">
        <v>12</v>
      </c>
      <c r="Y12" s="18" t="s">
        <v>12</v>
      </c>
      <c r="Z12" s="18" t="s">
        <v>12</v>
      </c>
      <c r="AA12" s="18" t="s">
        <v>12</v>
      </c>
    </row>
    <row r="13" spans="2:27" x14ac:dyDescent="0.25">
      <c r="B13" s="19" t="s">
        <v>13</v>
      </c>
      <c r="C13" s="20">
        <v>450</v>
      </c>
      <c r="D13" s="20">
        <v>450</v>
      </c>
      <c r="E13" s="20">
        <v>450</v>
      </c>
      <c r="F13" s="20">
        <v>450</v>
      </c>
      <c r="G13" s="20">
        <v>450</v>
      </c>
      <c r="H13" s="20">
        <v>450</v>
      </c>
      <c r="I13" s="20">
        <v>450</v>
      </c>
      <c r="J13" s="20">
        <v>450</v>
      </c>
      <c r="K13" s="20">
        <v>450</v>
      </c>
      <c r="L13" s="20">
        <v>450</v>
      </c>
      <c r="M13" s="20">
        <v>450</v>
      </c>
      <c r="N13" s="20">
        <v>450</v>
      </c>
      <c r="O13" s="21">
        <f t="shared" si="3"/>
        <v>5400</v>
      </c>
      <c r="U13" s="22">
        <v>18150</v>
      </c>
      <c r="V13" s="22">
        <v>73801</v>
      </c>
      <c r="W13" s="22">
        <v>148851</v>
      </c>
      <c r="X13" s="22">
        <v>226851</v>
      </c>
      <c r="Y13" s="22">
        <v>405101</v>
      </c>
      <c r="Z13" s="22">
        <v>457601</v>
      </c>
      <c r="AA13" s="23" t="s">
        <v>14</v>
      </c>
    </row>
    <row r="14" spans="2:27" s="1" customFormat="1" x14ac:dyDescent="0.25">
      <c r="B14" s="24" t="s">
        <v>15</v>
      </c>
      <c r="C14" s="25">
        <f>SUM(C10:C13)</f>
        <v>2962.5</v>
      </c>
      <c r="D14" s="25">
        <f t="shared" ref="D14:N14" si="5">SUM(D10:D13)</f>
        <v>2962.5</v>
      </c>
      <c r="E14" s="25">
        <f t="shared" si="5"/>
        <v>2962.5</v>
      </c>
      <c r="F14" s="25">
        <f t="shared" si="5"/>
        <v>2962.5</v>
      </c>
      <c r="G14" s="25">
        <f t="shared" si="5"/>
        <v>2962.5</v>
      </c>
      <c r="H14" s="25">
        <f t="shared" si="5"/>
        <v>2962.5</v>
      </c>
      <c r="I14" s="25">
        <f t="shared" si="5"/>
        <v>2962.5</v>
      </c>
      <c r="J14" s="25">
        <f t="shared" si="5"/>
        <v>2962.5</v>
      </c>
      <c r="K14" s="25">
        <f t="shared" si="5"/>
        <v>2962.5</v>
      </c>
      <c r="L14" s="25">
        <f t="shared" si="5"/>
        <v>2962.5</v>
      </c>
      <c r="M14" s="25">
        <f t="shared" si="5"/>
        <v>2962.5</v>
      </c>
      <c r="N14" s="26">
        <f t="shared" si="5"/>
        <v>2962.5</v>
      </c>
      <c r="O14" s="17">
        <f t="shared" si="3"/>
        <v>35550</v>
      </c>
      <c r="P14"/>
      <c r="S14"/>
      <c r="T14" s="27" t="s">
        <v>16</v>
      </c>
      <c r="U14" s="28">
        <v>0.1</v>
      </c>
      <c r="V14" s="28">
        <v>0.15</v>
      </c>
      <c r="W14" s="28">
        <v>0.25</v>
      </c>
      <c r="X14" s="28">
        <v>0.28000000000000003</v>
      </c>
      <c r="Y14" s="28">
        <v>0.33</v>
      </c>
      <c r="Z14" s="28">
        <v>0.35</v>
      </c>
      <c r="AA14" s="28">
        <v>0.39600000000000002</v>
      </c>
    </row>
    <row r="15" spans="2:27" x14ac:dyDescent="0.25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17"/>
    </row>
    <row r="16" spans="2:27" x14ac:dyDescent="0.25">
      <c r="B16" s="31" t="s">
        <v>17</v>
      </c>
      <c r="C16" s="32">
        <f>C7-C14</f>
        <v>19537.5</v>
      </c>
      <c r="D16" s="32">
        <f t="shared" ref="D16:N16" si="6">D7-D14</f>
        <v>19537.5</v>
      </c>
      <c r="E16" s="32">
        <f t="shared" si="6"/>
        <v>19537.5</v>
      </c>
      <c r="F16" s="32">
        <f t="shared" si="6"/>
        <v>19537.5</v>
      </c>
      <c r="G16" s="32">
        <f t="shared" si="6"/>
        <v>19537.5</v>
      </c>
      <c r="H16" s="32">
        <f t="shared" si="6"/>
        <v>19537.5</v>
      </c>
      <c r="I16" s="32">
        <f t="shared" si="6"/>
        <v>19537.5</v>
      </c>
      <c r="J16" s="32">
        <f t="shared" si="6"/>
        <v>19537.5</v>
      </c>
      <c r="K16" s="32">
        <f t="shared" si="6"/>
        <v>19537.5</v>
      </c>
      <c r="L16" s="32">
        <f t="shared" si="6"/>
        <v>19537.5</v>
      </c>
      <c r="M16" s="32">
        <f t="shared" si="6"/>
        <v>19537.5</v>
      </c>
      <c r="N16" s="33">
        <f t="shared" si="6"/>
        <v>19537.5</v>
      </c>
      <c r="O16" s="34">
        <f t="shared" ref="O16:O17" si="7">SUM(C16:N16)</f>
        <v>234450</v>
      </c>
      <c r="S16" s="35" t="s">
        <v>18</v>
      </c>
      <c r="T16" s="36">
        <f>O18</f>
        <v>174450</v>
      </c>
      <c r="U16" s="37">
        <f>IF($T16&gt;U13,U13,$T16)</f>
        <v>18150</v>
      </c>
      <c r="V16" s="37">
        <f>IF($T16&gt;V13,V13-U13,$T16-U16)</f>
        <v>55651</v>
      </c>
      <c r="W16" s="37">
        <f>IF($T16&gt;W13,W13-V13,$T16-V16-U16)</f>
        <v>75050</v>
      </c>
      <c r="X16" s="37">
        <f>IF($T16&gt;X13,X13-W13,$T16-W16-V16-U16)</f>
        <v>25599</v>
      </c>
      <c r="Y16" s="37">
        <f>IF($T16&gt;Y13,Y13-X13,$T16-X16-W16-V16-U16)</f>
        <v>0</v>
      </c>
      <c r="Z16" s="37">
        <f>IF($T16&gt;Z13,Z13-Y13,$T16-Y16-X16-W16-V16-U16)</f>
        <v>0</v>
      </c>
      <c r="AA16" s="37">
        <f>IF(T16&gt;Z13,T16-SUM(U16:Z16),0)</f>
        <v>0</v>
      </c>
    </row>
    <row r="17" spans="2:29" s="38" customFormat="1" x14ac:dyDescent="0.25">
      <c r="B17" s="72" t="s">
        <v>32</v>
      </c>
      <c r="C17" s="15">
        <v>5000</v>
      </c>
      <c r="D17" s="15">
        <v>5000</v>
      </c>
      <c r="E17" s="15">
        <v>5000</v>
      </c>
      <c r="F17" s="15">
        <v>5000</v>
      </c>
      <c r="G17" s="15">
        <v>5000</v>
      </c>
      <c r="H17" s="15">
        <v>5000</v>
      </c>
      <c r="I17" s="15">
        <v>5000</v>
      </c>
      <c r="J17" s="15">
        <v>5000</v>
      </c>
      <c r="K17" s="15">
        <v>5000</v>
      </c>
      <c r="L17" s="15">
        <v>5000</v>
      </c>
      <c r="M17" s="15">
        <v>5000</v>
      </c>
      <c r="N17" s="15">
        <v>5000</v>
      </c>
      <c r="O17" s="73">
        <f t="shared" si="7"/>
        <v>60000</v>
      </c>
      <c r="P17"/>
      <c r="S17" s="35" t="s">
        <v>19</v>
      </c>
      <c r="T17" s="37">
        <f>SUM(U17:AA17)</f>
        <v>36092.870000000003</v>
      </c>
      <c r="U17" s="39">
        <f>U16*U14</f>
        <v>1815</v>
      </c>
      <c r="V17" s="39">
        <f t="shared" ref="V17:AA17" si="8">V16*V14</f>
        <v>8347.65</v>
      </c>
      <c r="W17" s="39">
        <f t="shared" si="8"/>
        <v>18762.5</v>
      </c>
      <c r="X17" s="39">
        <f t="shared" si="8"/>
        <v>7167.72</v>
      </c>
      <c r="Y17" s="39">
        <f t="shared" si="8"/>
        <v>0</v>
      </c>
      <c r="Z17" s="39">
        <f t="shared" si="8"/>
        <v>0</v>
      </c>
      <c r="AA17" s="39">
        <f t="shared" si="8"/>
        <v>0</v>
      </c>
    </row>
    <row r="18" spans="2:29" s="38" customFormat="1" x14ac:dyDescent="0.25">
      <c r="B18" s="46" t="s">
        <v>23</v>
      </c>
      <c r="C18" s="47">
        <f>C16-SUM(C17:C17)</f>
        <v>14537.5</v>
      </c>
      <c r="D18" s="47">
        <f>D16-SUM(D17:D17)</f>
        <v>14537.5</v>
      </c>
      <c r="E18" s="47">
        <f>E16-SUM(E17:E17)</f>
        <v>14537.5</v>
      </c>
      <c r="F18" s="47">
        <f>F16-SUM(F17:F17)</f>
        <v>14537.5</v>
      </c>
      <c r="G18" s="47">
        <f>G16-SUM(G17:G17)</f>
        <v>14537.5</v>
      </c>
      <c r="H18" s="47">
        <f>H16-SUM(H17:H17)</f>
        <v>14537.5</v>
      </c>
      <c r="I18" s="47">
        <f>I16-SUM(I17:I17)</f>
        <v>14537.5</v>
      </c>
      <c r="J18" s="47">
        <f>J16-SUM(J17:J17)</f>
        <v>14537.5</v>
      </c>
      <c r="K18" s="47">
        <f>K16-SUM(K17:K17)</f>
        <v>14537.5</v>
      </c>
      <c r="L18" s="47">
        <f>L16-SUM(L17:L17)</f>
        <v>14537.5</v>
      </c>
      <c r="M18" s="47">
        <f>M16-SUM(M17:M17)</f>
        <v>14537.5</v>
      </c>
      <c r="N18" s="48">
        <f>N16-SUM(N17:N17)</f>
        <v>14537.5</v>
      </c>
      <c r="O18" s="49">
        <f>O16-SUM(O17:O17)</f>
        <v>174450</v>
      </c>
      <c r="P18"/>
      <c r="S18" s="40" t="s">
        <v>20</v>
      </c>
      <c r="T18" s="41">
        <f>T17/T16</f>
        <v>0.20689521352823159</v>
      </c>
    </row>
    <row r="19" spans="2:29" s="38" customFormat="1" x14ac:dyDescent="0.25">
      <c r="B19" s="50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6"/>
      <c r="O19" s="17"/>
      <c r="P19"/>
      <c r="S19" s="42"/>
      <c r="T19" s="43"/>
    </row>
    <row r="20" spans="2:29" s="38" customFormat="1" x14ac:dyDescent="0.25">
      <c r="B20" s="50" t="s">
        <v>24</v>
      </c>
      <c r="C20" s="51">
        <f t="shared" ref="C20:N20" si="9">$T$18*C18</f>
        <v>3007.7391666666667</v>
      </c>
      <c r="D20" s="51">
        <f t="shared" si="9"/>
        <v>3007.7391666666667</v>
      </c>
      <c r="E20" s="51">
        <f t="shared" si="9"/>
        <v>3007.7391666666667</v>
      </c>
      <c r="F20" s="51">
        <f t="shared" si="9"/>
        <v>3007.7391666666667</v>
      </c>
      <c r="G20" s="51">
        <f t="shared" si="9"/>
        <v>3007.7391666666667</v>
      </c>
      <c r="H20" s="51">
        <f t="shared" si="9"/>
        <v>3007.7391666666667</v>
      </c>
      <c r="I20" s="51">
        <f t="shared" si="9"/>
        <v>3007.7391666666667</v>
      </c>
      <c r="J20" s="51">
        <f t="shared" si="9"/>
        <v>3007.7391666666667</v>
      </c>
      <c r="K20" s="51">
        <f t="shared" si="9"/>
        <v>3007.7391666666667</v>
      </c>
      <c r="L20" s="51">
        <f t="shared" si="9"/>
        <v>3007.7391666666667</v>
      </c>
      <c r="M20" s="51">
        <f t="shared" si="9"/>
        <v>3007.7391666666667</v>
      </c>
      <c r="N20" s="52">
        <f t="shared" si="9"/>
        <v>3007.7391666666667</v>
      </c>
      <c r="O20" s="53">
        <f>SUM(C20:N20)</f>
        <v>36092.870000000003</v>
      </c>
      <c r="P20"/>
      <c r="S20" s="42"/>
      <c r="T20" s="43"/>
      <c r="U20" s="18" t="s">
        <v>21</v>
      </c>
      <c r="V20" s="18" t="s">
        <v>21</v>
      </c>
      <c r="W20" s="18" t="s">
        <v>21</v>
      </c>
      <c r="X20" s="18" t="s">
        <v>21</v>
      </c>
      <c r="Y20" s="18" t="s">
        <v>21</v>
      </c>
      <c r="Z20" s="18" t="s">
        <v>21</v>
      </c>
      <c r="AA20" s="18" t="s">
        <v>21</v>
      </c>
      <c r="AB20" s="18" t="s">
        <v>21</v>
      </c>
      <c r="AC20" s="18" t="s">
        <v>21</v>
      </c>
    </row>
    <row r="21" spans="2:29" s="38" customFormat="1" x14ac:dyDescent="0.25">
      <c r="B21" s="50" t="s">
        <v>26</v>
      </c>
      <c r="C21" s="51">
        <f t="shared" ref="C21:N21" si="10">$T$25*C18</f>
        <v>1147.85625</v>
      </c>
      <c r="D21" s="51">
        <f t="shared" si="10"/>
        <v>1147.85625</v>
      </c>
      <c r="E21" s="51">
        <f t="shared" si="10"/>
        <v>1147.85625</v>
      </c>
      <c r="F21" s="51">
        <f t="shared" si="10"/>
        <v>1147.85625</v>
      </c>
      <c r="G21" s="51">
        <f t="shared" si="10"/>
        <v>1147.85625</v>
      </c>
      <c r="H21" s="51">
        <f t="shared" si="10"/>
        <v>1147.85625</v>
      </c>
      <c r="I21" s="51">
        <f t="shared" si="10"/>
        <v>1147.85625</v>
      </c>
      <c r="J21" s="51">
        <f t="shared" si="10"/>
        <v>1147.85625</v>
      </c>
      <c r="K21" s="51">
        <f t="shared" si="10"/>
        <v>1147.85625</v>
      </c>
      <c r="L21" s="51">
        <f t="shared" si="10"/>
        <v>1147.85625</v>
      </c>
      <c r="M21" s="51">
        <f t="shared" si="10"/>
        <v>1147.85625</v>
      </c>
      <c r="N21" s="52">
        <f t="shared" si="10"/>
        <v>1147.85625</v>
      </c>
      <c r="O21" s="55">
        <f>SUM(C21:N21)</f>
        <v>13774.275000000003</v>
      </c>
      <c r="P21"/>
      <c r="S21" s="42"/>
      <c r="T21" s="43"/>
      <c r="U21" s="22">
        <v>7582</v>
      </c>
      <c r="V21" s="22">
        <v>17977</v>
      </c>
      <c r="W21" s="22">
        <v>28372</v>
      </c>
      <c r="X21" s="22">
        <v>39985</v>
      </c>
      <c r="Y21" s="22">
        <v>49775</v>
      </c>
      <c r="Z21" s="22">
        <v>254251</v>
      </c>
      <c r="AA21" s="22">
        <v>305101</v>
      </c>
      <c r="AB21" s="22">
        <v>508501</v>
      </c>
      <c r="AC21" s="23" t="s">
        <v>14</v>
      </c>
    </row>
    <row r="22" spans="2:29" s="38" customFormat="1" x14ac:dyDescent="0.25">
      <c r="B22" s="50" t="s">
        <v>27</v>
      </c>
      <c r="C22" s="51">
        <f>$V$30*C5</f>
        <v>290</v>
      </c>
      <c r="D22" s="51">
        <f>$V$30*D5</f>
        <v>290</v>
      </c>
      <c r="E22" s="51">
        <f>$V$30*E5</f>
        <v>290</v>
      </c>
      <c r="F22" s="51">
        <f>$V$30*F5</f>
        <v>290</v>
      </c>
      <c r="G22" s="51">
        <f>$V$30*G5</f>
        <v>290</v>
      </c>
      <c r="H22" s="51">
        <f>$V$30*H5</f>
        <v>290</v>
      </c>
      <c r="I22" s="51">
        <f>$V$30*I5</f>
        <v>290</v>
      </c>
      <c r="J22" s="51">
        <f>$V$30*J5</f>
        <v>290</v>
      </c>
      <c r="K22" s="51">
        <f>$V$30*K5</f>
        <v>290</v>
      </c>
      <c r="L22" s="51">
        <f>$V$30*L5</f>
        <v>290</v>
      </c>
      <c r="M22" s="51">
        <f>$V$30*M5</f>
        <v>290</v>
      </c>
      <c r="N22" s="52">
        <f>$V$30*N5</f>
        <v>290</v>
      </c>
      <c r="O22" s="55">
        <f>SUM(C22:N22)</f>
        <v>3480</v>
      </c>
      <c r="P22"/>
      <c r="S22" s="42"/>
      <c r="T22" s="44" t="s">
        <v>16</v>
      </c>
      <c r="U22" s="45">
        <v>0.01</v>
      </c>
      <c r="V22" s="45">
        <v>0.02</v>
      </c>
      <c r="W22" s="45">
        <v>0.04</v>
      </c>
      <c r="X22" s="45">
        <v>0.06</v>
      </c>
      <c r="Y22" s="45">
        <v>0.08</v>
      </c>
      <c r="Z22" s="45">
        <v>9.2999999999999999E-2</v>
      </c>
      <c r="AA22" s="45">
        <v>0.10299999999999999</v>
      </c>
      <c r="AB22" s="45">
        <v>0.113</v>
      </c>
      <c r="AC22" s="45">
        <v>0.123</v>
      </c>
    </row>
    <row r="23" spans="2:29" s="38" customFormat="1" x14ac:dyDescent="0.25">
      <c r="B23" s="50" t="s">
        <v>28</v>
      </c>
      <c r="C23" s="51">
        <f>IF(SUM($O$16:$O$17)&lt;$T$29*2,$V$31*C5,$V$31*$T$29*2/$O$5*C5)</f>
        <v>1224.5</v>
      </c>
      <c r="D23" s="51">
        <f>IF(SUM($O$16:$O$17)&lt;$T$29*2,$V$31*D5,$V$31*$T$29*2/$O$5*D5)</f>
        <v>1224.5</v>
      </c>
      <c r="E23" s="51">
        <f>IF(SUM($O$16:$O$17)&lt;$T$29*2,$V$31*E5,$V$31*$T$29*2/$O$5*E5)</f>
        <v>1224.5</v>
      </c>
      <c r="F23" s="51">
        <f>IF(SUM($O$16:$O$17)&lt;$T$29*2,$V$31*F5,$V$31*$T$29*2/$O$5*F5)</f>
        <v>1224.5</v>
      </c>
      <c r="G23" s="51">
        <f>IF(SUM($O$16:$O$17)&lt;$T$29*2,$V$31*G5,$V$31*$T$29*2/$O$5*G5)</f>
        <v>1224.5</v>
      </c>
      <c r="H23" s="51">
        <f>IF(SUM($O$16:$O$17)&lt;$T$29*2,$V$31*H5,$V$31*$T$29*2/$O$5*H5)</f>
        <v>1224.5</v>
      </c>
      <c r="I23" s="51">
        <f>IF(SUM($O$16:$O$17)&lt;$T$29*2,$V$31*I5,$V$31*$T$29*2/$O$5*I5)</f>
        <v>1224.5</v>
      </c>
      <c r="J23" s="51">
        <f>IF(SUM($O$16:$O$17)&lt;$T$29*2,$V$31*J5,$V$31*$T$29*2/$O$5*J5)</f>
        <v>1224.5</v>
      </c>
      <c r="K23" s="51">
        <f>IF(SUM($O$16:$O$17)&lt;$T$29*2,$V$31*K5,$V$31*$T$29*2/$O$5*K5)</f>
        <v>1224.5</v>
      </c>
      <c r="L23" s="51">
        <f>IF(SUM($O$16:$O$17)&lt;$T$29*2,$V$31*L5,$V$31*$T$29*2/$O$5*L5)</f>
        <v>1224.5</v>
      </c>
      <c r="M23" s="51">
        <f>IF(SUM($O$16:$O$17)&lt;$T$29*2,$V$31*M5,$V$31*$T$29*2/$O$5*M5)</f>
        <v>1224.5</v>
      </c>
      <c r="N23" s="52">
        <f>IF(SUM($O$16:$O$17)&lt;$T$29*2,$V$31*N5,$V$31*$T$29*2/$O$5*N5)</f>
        <v>1224.5</v>
      </c>
      <c r="O23" s="57">
        <f>SUM(C23:N23)</f>
        <v>14694</v>
      </c>
      <c r="P23"/>
      <c r="S23" s="35" t="s">
        <v>18</v>
      </c>
      <c r="T23" s="36">
        <f>T16</f>
        <v>174450</v>
      </c>
      <c r="U23" s="37">
        <f>IF($T23&gt;U21,U21,$T23)</f>
        <v>7582</v>
      </c>
      <c r="V23" s="37">
        <f>IF($T23&gt;V21,V21-U21,$T23-U23)</f>
        <v>10395</v>
      </c>
      <c r="W23" s="37">
        <f>IF($T23&gt;W21,W21-V21,$T23-V23-U23)</f>
        <v>10395</v>
      </c>
      <c r="X23" s="37">
        <f>IF($T23&gt;X21,X21-W21,$T23-W23-V23-U23)</f>
        <v>11613</v>
      </c>
      <c r="Y23" s="37">
        <f>IF($T23&gt;Y21,Y21-X21,$T23-X23-W23-V23-U23)</f>
        <v>9790</v>
      </c>
      <c r="Z23" s="37">
        <f>IF($T23&gt;Z21,Z21-Y21,$T23-Y23-X23-W23-V23-U23)</f>
        <v>124675</v>
      </c>
      <c r="AA23" s="37">
        <f>IF($T23&gt;AA21,AA21-Z21,$T23-Z23-Y23-X23-W23-V23-U23)</f>
        <v>0</v>
      </c>
      <c r="AB23" s="37">
        <f>IF($T23&gt;AB21,AB21-AA21,$T23-AA23-Z23-Y23-X23-W23-V23-U23)</f>
        <v>0</v>
      </c>
      <c r="AC23" s="37">
        <f>IF(T23&gt;AB21,T23-SUM(U23:AB23),0)</f>
        <v>0</v>
      </c>
    </row>
    <row r="24" spans="2:29" s="38" customFormat="1" x14ac:dyDescent="0.25">
      <c r="B24" s="58" t="s">
        <v>29</v>
      </c>
      <c r="C24" s="59">
        <f>IF($U$33*$O$5&gt;$T$33,$T$33/12,$U$33*C5)</f>
        <v>180</v>
      </c>
      <c r="D24" s="59">
        <f>IF($U$33*$O$5&gt;$T$33,$T$33/12,$U$33*D5)</f>
        <v>180</v>
      </c>
      <c r="E24" s="59">
        <f>IF($U$33*$O$5&gt;$T$33,$T$33/12,$U$33*E5)</f>
        <v>180</v>
      </c>
      <c r="F24" s="59">
        <f>IF($U$33*$O$5&gt;$T$33,$T$33/12,$U$33*F5)</f>
        <v>180</v>
      </c>
      <c r="G24" s="59">
        <f>IF($U$33*$O$5&gt;$T$33,$T$33/12,$U$33*G5)</f>
        <v>180</v>
      </c>
      <c r="H24" s="59">
        <f>IF($U$33*$O$5&gt;$T$33,$T$33/12,$U$33*H5)</f>
        <v>180</v>
      </c>
      <c r="I24" s="59">
        <f>IF($U$33*$O$5&gt;$T$33,$T$33/12,$U$33*I5)</f>
        <v>180</v>
      </c>
      <c r="J24" s="59">
        <f>IF($U$33*$O$5&gt;$T$33,$T$33/12,$U$33*J5)</f>
        <v>180</v>
      </c>
      <c r="K24" s="59">
        <f>IF($U$33*$O$5&gt;$T$33,$T$33/12,$U$33*K5)</f>
        <v>180</v>
      </c>
      <c r="L24" s="59">
        <f>IF($U$33*$O$5&gt;$T$33,$T$33/12,$U$33*L5)</f>
        <v>180</v>
      </c>
      <c r="M24" s="59">
        <f>IF($U$33*$O$5&gt;$T$33,$T$33/12,$U$33*M5)</f>
        <v>180</v>
      </c>
      <c r="N24" s="60">
        <f>IF($U$33*$O$5&gt;$T$33,$T$33/12,$U$33*N5)</f>
        <v>180</v>
      </c>
      <c r="O24" s="61">
        <f>SUM(C24:N24)</f>
        <v>2160</v>
      </c>
      <c r="P24"/>
      <c r="S24" s="35" t="s">
        <v>19</v>
      </c>
      <c r="T24" s="37">
        <f>SUM(U24:AC24)</f>
        <v>13774.275</v>
      </c>
      <c r="U24" s="39">
        <f>U23*U22</f>
        <v>75.820000000000007</v>
      </c>
      <c r="V24" s="39">
        <f t="shared" ref="V24:AC24" si="11">V23*V22</f>
        <v>207.9</v>
      </c>
      <c r="W24" s="39">
        <f t="shared" si="11"/>
        <v>415.8</v>
      </c>
      <c r="X24" s="39">
        <f t="shared" si="11"/>
        <v>696.78</v>
      </c>
      <c r="Y24" s="39">
        <f t="shared" si="11"/>
        <v>783.2</v>
      </c>
      <c r="Z24" s="39">
        <f t="shared" si="11"/>
        <v>11594.775</v>
      </c>
      <c r="AA24" s="39">
        <f t="shared" si="11"/>
        <v>0</v>
      </c>
      <c r="AB24" s="39">
        <f t="shared" si="11"/>
        <v>0</v>
      </c>
      <c r="AC24" s="39">
        <f t="shared" si="11"/>
        <v>0</v>
      </c>
    </row>
    <row r="25" spans="2:29" s="38" customFormat="1" x14ac:dyDescent="0.25">
      <c r="B25" s="74" t="s">
        <v>19</v>
      </c>
      <c r="C25" s="75">
        <f>SUM(C20:C24)</f>
        <v>5850.095416666667</v>
      </c>
      <c r="D25" s="75">
        <f>SUM(D20:D24)</f>
        <v>5850.095416666667</v>
      </c>
      <c r="E25" s="75">
        <f>SUM(E20:E24)</f>
        <v>5850.095416666667</v>
      </c>
      <c r="F25" s="75">
        <f>SUM(F20:F24)</f>
        <v>5850.095416666667</v>
      </c>
      <c r="G25" s="75">
        <f>SUM(G20:G24)</f>
        <v>5850.095416666667</v>
      </c>
      <c r="H25" s="75">
        <f>SUM(H20:H24)</f>
        <v>5850.095416666667</v>
      </c>
      <c r="I25" s="75">
        <f>SUM(I20:I24)</f>
        <v>5850.095416666667</v>
      </c>
      <c r="J25" s="75">
        <f>SUM(J20:J24)</f>
        <v>5850.095416666667</v>
      </c>
      <c r="K25" s="75">
        <f>SUM(K20:K24)</f>
        <v>5850.095416666667</v>
      </c>
      <c r="L25" s="75">
        <f>SUM(L20:L24)</f>
        <v>5850.095416666667</v>
      </c>
      <c r="M25" s="75">
        <f>SUM(M20:M24)</f>
        <v>5850.095416666667</v>
      </c>
      <c r="N25" s="76">
        <f>SUM(N20:N24)</f>
        <v>5850.095416666667</v>
      </c>
      <c r="O25" s="77">
        <f>SUM(C25:N25)</f>
        <v>70201.14499999999</v>
      </c>
      <c r="P25"/>
      <c r="S25" s="40" t="s">
        <v>22</v>
      </c>
      <c r="T25" s="41">
        <f>T24/T23</f>
        <v>7.8958297506448838E-2</v>
      </c>
    </row>
    <row r="26" spans="2:29" s="38" customFormat="1" x14ac:dyDescent="0.25">
      <c r="B26" s="64" t="s">
        <v>30</v>
      </c>
      <c r="C26" s="65">
        <f>C25/C18</f>
        <v>0.40241413012324451</v>
      </c>
      <c r="D26" s="65">
        <f>D25/D18</f>
        <v>0.40241413012324451</v>
      </c>
      <c r="E26" s="65">
        <f>E25/E18</f>
        <v>0.40241413012324451</v>
      </c>
      <c r="F26" s="65">
        <f>F25/F18</f>
        <v>0.40241413012324451</v>
      </c>
      <c r="G26" s="65">
        <f>G25/G18</f>
        <v>0.40241413012324451</v>
      </c>
      <c r="H26" s="65">
        <f>H25/H18</f>
        <v>0.40241413012324451</v>
      </c>
      <c r="I26" s="65">
        <f>I25/I18</f>
        <v>0.40241413012324451</v>
      </c>
      <c r="J26" s="65">
        <f>J25/J18</f>
        <v>0.40241413012324451</v>
      </c>
      <c r="K26" s="65">
        <f>K25/K18</f>
        <v>0.40241413012324451</v>
      </c>
      <c r="L26" s="65">
        <f>L25/L18</f>
        <v>0.40241413012324451</v>
      </c>
      <c r="M26" s="65">
        <f>M25/M18</f>
        <v>0.40241413012324451</v>
      </c>
      <c r="N26" s="66">
        <f>N25/N18</f>
        <v>0.40241413012324451</v>
      </c>
      <c r="O26" s="67">
        <f>O25/O18</f>
        <v>0.4024141301232444</v>
      </c>
      <c r="P26"/>
      <c r="S26" s="42"/>
      <c r="T26" s="43"/>
    </row>
    <row r="27" spans="2:29" s="38" customFormat="1" ht="5.0999999999999996" customHeight="1" thickBot="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 s="68"/>
      <c r="P27"/>
      <c r="S27" s="42"/>
      <c r="T27" s="43"/>
    </row>
    <row r="28" spans="2:29" x14ac:dyDescent="0.25">
      <c r="B28" s="69" t="s">
        <v>31</v>
      </c>
      <c r="C28" s="70">
        <f>C25/C7</f>
        <v>0.26000424074074074</v>
      </c>
      <c r="D28" s="70">
        <f>D25/D7</f>
        <v>0.26000424074074074</v>
      </c>
      <c r="E28" s="70">
        <f>E25/E7</f>
        <v>0.26000424074074074</v>
      </c>
      <c r="F28" s="70">
        <f>F25/F7</f>
        <v>0.26000424074074074</v>
      </c>
      <c r="G28" s="70">
        <f>G25/G7</f>
        <v>0.26000424074074074</v>
      </c>
      <c r="H28" s="70">
        <f>H25/H7</f>
        <v>0.26000424074074074</v>
      </c>
      <c r="I28" s="70">
        <f>I25/I7</f>
        <v>0.26000424074074074</v>
      </c>
      <c r="J28" s="70">
        <f>J25/J7</f>
        <v>0.26000424074074074</v>
      </c>
      <c r="K28" s="70">
        <f>K25/K7</f>
        <v>0.26000424074074074</v>
      </c>
      <c r="L28" s="70">
        <f>L25/L7</f>
        <v>0.26000424074074074</v>
      </c>
      <c r="M28" s="70">
        <f>M25/M7</f>
        <v>0.26000424074074074</v>
      </c>
      <c r="N28" s="70">
        <f>N25/N7</f>
        <v>0.26000424074074074</v>
      </c>
      <c r="O28" s="70">
        <f>O25/O7</f>
        <v>0.26000424074074069</v>
      </c>
    </row>
    <row r="29" spans="2:29" ht="15.75" thickBot="1" x14ac:dyDescent="0.3">
      <c r="S29" t="s">
        <v>25</v>
      </c>
      <c r="T29" s="43">
        <v>118500</v>
      </c>
      <c r="U29" s="54">
        <f>T29*2</f>
        <v>237000</v>
      </c>
    </row>
    <row r="30" spans="2:29" x14ac:dyDescent="0.25">
      <c r="B30" s="81" t="s">
        <v>36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3"/>
      <c r="S30" t="s">
        <v>27</v>
      </c>
      <c r="T30" s="43">
        <f>0.0145*T29</f>
        <v>1718.25</v>
      </c>
      <c r="U30" s="54">
        <f t="shared" ref="U30:U31" si="12">T30*2</f>
        <v>3436.5</v>
      </c>
      <c r="V30" s="56">
        <f>T30/T29</f>
        <v>1.4500000000000001E-2</v>
      </c>
    </row>
    <row r="31" spans="2:29" x14ac:dyDescent="0.25"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6"/>
      <c r="S31" t="s">
        <v>28</v>
      </c>
      <c r="T31" s="43">
        <f>0.062*T29</f>
        <v>7347</v>
      </c>
      <c r="U31" s="54">
        <f t="shared" si="12"/>
        <v>14694</v>
      </c>
      <c r="V31" s="56">
        <f>T31/T29</f>
        <v>6.2E-2</v>
      </c>
    </row>
    <row r="32" spans="2:29" ht="20.25" customHeight="1" thickBot="1" x14ac:dyDescent="0.3">
      <c r="B32" s="87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9"/>
    </row>
    <row r="33" spans="2:21" x14ac:dyDescent="0.25">
      <c r="O33"/>
      <c r="S33" t="s">
        <v>29</v>
      </c>
      <c r="T33" s="62">
        <v>7000</v>
      </c>
      <c r="U33" s="63">
        <v>8.9999999999999993E-3</v>
      </c>
    </row>
    <row r="34" spans="2:21" x14ac:dyDescent="0.25">
      <c r="T34" s="62"/>
      <c r="U34" s="63"/>
    </row>
    <row r="35" spans="2:21" x14ac:dyDescent="0.25">
      <c r="T35" s="62"/>
      <c r="U35" s="63"/>
    </row>
    <row r="37" spans="2:21" x14ac:dyDescent="0.25">
      <c r="P37" s="71"/>
    </row>
    <row r="38" spans="2:21" ht="5.0999999999999996" customHeight="1" x14ac:dyDescent="0.25"/>
    <row r="39" spans="2:21" s="71" customFormat="1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 s="1"/>
      <c r="P39"/>
    </row>
    <row r="40" spans="2:21" ht="5.0999999999999996" customHeight="1" x14ac:dyDescent="0.25"/>
    <row r="42" spans="2:21" ht="5.0999999999999996" customHeight="1" x14ac:dyDescent="0.25"/>
  </sheetData>
  <mergeCells count="2">
    <mergeCell ref="B2:B3"/>
    <mergeCell ref="B30:O32"/>
  </mergeCells>
  <conditionalFormatting sqref="C10:N13">
    <cfRule type="expression" dxfId="14" priority="4">
      <formula>C$2="Actual"</formula>
    </cfRule>
  </conditionalFormatting>
  <conditionalFormatting sqref="C17:N17">
    <cfRule type="expression" dxfId="13" priority="3">
      <formula>C$2="Actual"</formula>
    </cfRule>
  </conditionalFormatting>
  <conditionalFormatting sqref="C5:N6">
    <cfRule type="expression" dxfId="6" priority="1">
      <formula>C$2="Actual"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Estimated Tax Model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DiBernardo</dc:creator>
  <cp:lastModifiedBy>Dominic DiBernardo</cp:lastModifiedBy>
  <dcterms:created xsi:type="dcterms:W3CDTF">2015-10-22T21:52:52Z</dcterms:created>
  <dcterms:modified xsi:type="dcterms:W3CDTF">2015-10-22T22:12:41Z</dcterms:modified>
</cp:coreProperties>
</file>